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8688" activeTab="4"/>
  </bookViews>
  <sheets>
    <sheet name="Instructions" sheetId="2" r:id="rId1"/>
    <sheet name="Financial Statements" sheetId="1" r:id="rId2"/>
    <sheet name="Growth Rates" sheetId="4" r:id="rId3"/>
    <sheet name="Margins" sheetId="5" r:id="rId4"/>
    <sheet name="List of Ratios" sheetId="3" r:id="rId5"/>
    <sheet name="Additional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  <c r="E41" i="3"/>
  <c r="D49" i="3" l="1"/>
  <c r="E49" i="3"/>
  <c r="C49" i="3"/>
  <c r="D50" i="3"/>
  <c r="C50" i="3"/>
  <c r="D4" i="6"/>
  <c r="E4" i="6"/>
  <c r="D5" i="6"/>
  <c r="E5" i="6"/>
  <c r="D6" i="6"/>
  <c r="E6" i="6"/>
  <c r="C6" i="6"/>
  <c r="C5" i="6"/>
  <c r="C4" i="6"/>
  <c r="C24" i="4"/>
  <c r="C23" i="4"/>
  <c r="C22" i="4"/>
  <c r="C21" i="4"/>
  <c r="C20" i="4"/>
  <c r="C19" i="4"/>
  <c r="C18" i="4"/>
  <c r="C17" i="4"/>
  <c r="C16" i="4"/>
  <c r="C13" i="4"/>
  <c r="C12" i="4"/>
  <c r="C9" i="4"/>
  <c r="C7" i="4"/>
  <c r="C6" i="4"/>
  <c r="C5" i="4"/>
  <c r="D6" i="5"/>
  <c r="E6" i="5"/>
  <c r="D7" i="5"/>
  <c r="E7" i="5"/>
  <c r="D8" i="5"/>
  <c r="E8" i="5"/>
  <c r="D9" i="5"/>
  <c r="E9" i="5"/>
  <c r="D10" i="5"/>
  <c r="E10" i="5"/>
  <c r="D5" i="5"/>
  <c r="E5" i="5"/>
  <c r="C10" i="5"/>
  <c r="C9" i="5"/>
  <c r="C8" i="5"/>
  <c r="C7" i="5"/>
  <c r="C6" i="5"/>
  <c r="C5" i="5"/>
  <c r="A16" i="4"/>
  <c r="A17" i="4" s="1"/>
  <c r="A18" i="4" s="1"/>
  <c r="A19" i="4" s="1"/>
  <c r="A20" i="4" s="1"/>
  <c r="A21" i="4" s="1"/>
  <c r="A22" i="4" s="1"/>
  <c r="A23" i="4" s="1"/>
  <c r="A24" i="4" s="1"/>
  <c r="A5" i="4"/>
  <c r="A6" i="4" s="1"/>
  <c r="A7" i="4" s="1"/>
  <c r="A12" i="4" s="1"/>
  <c r="A13" i="4" s="1"/>
  <c r="E19" i="3"/>
  <c r="C19" i="3"/>
  <c r="D17" i="3"/>
  <c r="D47" i="3"/>
  <c r="E47" i="3"/>
  <c r="C47" i="3"/>
  <c r="D29" i="3"/>
  <c r="E29" i="3"/>
  <c r="C29" i="3"/>
  <c r="D30" i="3"/>
  <c r="E30" i="3"/>
  <c r="C30" i="3"/>
  <c r="E36" i="3"/>
  <c r="D36" i="3"/>
  <c r="C36" i="3"/>
  <c r="E35" i="3"/>
  <c r="D35" i="3"/>
  <c r="C35" i="3"/>
  <c r="E34" i="3"/>
  <c r="D34" i="3"/>
  <c r="C34" i="3"/>
  <c r="C18" i="3"/>
  <c r="C17" i="3" s="1"/>
  <c r="D18" i="3"/>
  <c r="E18" i="3"/>
  <c r="E17" i="3" s="1"/>
  <c r="D20" i="3"/>
  <c r="D19" i="3" s="1"/>
  <c r="E20" i="3"/>
  <c r="C20" i="3"/>
  <c r="D13" i="3"/>
  <c r="D12" i="3" s="1"/>
  <c r="E13" i="3"/>
  <c r="E12" i="3" s="1"/>
  <c r="C13" i="3"/>
  <c r="C12" i="3" s="1"/>
  <c r="D10" i="3"/>
  <c r="E10" i="3"/>
  <c r="C10" i="3"/>
  <c r="D9" i="3"/>
  <c r="D11" i="3" s="1"/>
  <c r="E9" i="3"/>
  <c r="E11" i="3" s="1"/>
  <c r="C9" i="3"/>
  <c r="C11" i="3" s="1"/>
  <c r="C45" i="3"/>
  <c r="D44" i="3"/>
  <c r="D45" i="3" s="1"/>
  <c r="E44" i="3"/>
  <c r="E45" i="3" s="1"/>
  <c r="C44" i="3"/>
  <c r="C41" i="3"/>
  <c r="D42" i="3"/>
  <c r="E42" i="3"/>
  <c r="C42" i="3"/>
  <c r="D41" i="3"/>
  <c r="C29" i="1"/>
  <c r="D29" i="1"/>
  <c r="B2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6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2" i="3"/>
  <c r="D2" i="3"/>
  <c r="C2" i="3"/>
  <c r="D33" i="1"/>
  <c r="D73" i="1" s="1"/>
  <c r="C33" i="1"/>
  <c r="C73" i="1" s="1"/>
  <c r="B33" i="1"/>
  <c r="B73" i="1" s="1"/>
  <c r="B62" i="1" l="1"/>
  <c r="E5" i="3"/>
  <c r="E7" i="3"/>
  <c r="E4" i="3"/>
  <c r="B13" i="1"/>
  <c r="C8" i="3"/>
  <c r="C6" i="3"/>
  <c r="C62" i="1"/>
  <c r="C69" i="1" s="1"/>
  <c r="C13" i="1"/>
  <c r="C18" i="1" s="1"/>
  <c r="C20" i="1" s="1"/>
  <c r="C22" i="1" s="1"/>
  <c r="D8" i="3"/>
  <c r="B48" i="1"/>
  <c r="C5" i="3"/>
  <c r="C7" i="3"/>
  <c r="C4" i="3"/>
  <c r="D13" i="1"/>
  <c r="D18" i="1" s="1"/>
  <c r="D20" i="1" s="1"/>
  <c r="D22" i="1" s="1"/>
  <c r="E8" i="3"/>
  <c r="D5" i="3"/>
  <c r="D7" i="3"/>
  <c r="D4" i="3"/>
  <c r="D6" i="3"/>
  <c r="B18" i="1"/>
  <c r="B20" i="1" s="1"/>
  <c r="B22" i="1" s="1"/>
  <c r="C48" i="1"/>
  <c r="D62" i="1"/>
  <c r="D69" i="1" s="1"/>
  <c r="D48" i="1"/>
  <c r="B69" i="1"/>
  <c r="A46" i="3"/>
  <c r="A48" i="3" s="1"/>
  <c r="A15" i="3"/>
  <c r="A16" i="3" s="1"/>
  <c r="A17" i="3" s="1"/>
  <c r="A19" i="3" s="1"/>
  <c r="A21" i="3" s="1"/>
  <c r="A4" i="3"/>
  <c r="A5" i="3" s="1"/>
  <c r="A6" i="3" s="1"/>
  <c r="A7" i="3" s="1"/>
  <c r="A8" i="3" s="1"/>
  <c r="A9" i="3" s="1"/>
  <c r="A10" i="3" s="1"/>
  <c r="A11" i="3" s="1"/>
  <c r="A12" i="3" s="1"/>
  <c r="E33" i="3" l="1"/>
  <c r="C33" i="3"/>
  <c r="B76" i="1"/>
  <c r="B91" i="1" s="1"/>
  <c r="B109" i="1" s="1"/>
  <c r="C46" i="3"/>
  <c r="C40" i="3"/>
  <c r="C48" i="3"/>
  <c r="D33" i="3"/>
  <c r="D76" i="1"/>
  <c r="D91" i="1" s="1"/>
  <c r="D109" i="1" s="1"/>
  <c r="E46" i="3"/>
  <c r="E40" i="3"/>
  <c r="E48" i="3"/>
  <c r="A23" i="3"/>
  <c r="A24" i="3" s="1"/>
  <c r="A25" i="3" s="1"/>
  <c r="A26" i="3" s="1"/>
  <c r="A27" i="3" s="1"/>
  <c r="A28" i="3" s="1"/>
  <c r="A29" i="3" s="1"/>
  <c r="C76" i="1"/>
  <c r="C91" i="1" s="1"/>
  <c r="C109" i="1" s="1"/>
  <c r="D40" i="3"/>
  <c r="D46" i="3"/>
  <c r="D48" i="3"/>
  <c r="D39" i="3" l="1"/>
  <c r="D43" i="3"/>
  <c r="C39" i="3"/>
  <c r="C43" i="3"/>
  <c r="E39" i="3"/>
  <c r="E43" i="3"/>
  <c r="A32" i="3"/>
  <c r="A33" i="3" s="1"/>
  <c r="A34" i="3" s="1"/>
  <c r="A35" i="3" s="1"/>
  <c r="A36" i="3" s="1"/>
  <c r="A38" i="3"/>
  <c r="A39" i="3" s="1"/>
  <c r="A40" i="3" s="1"/>
  <c r="A41" i="3" s="1"/>
  <c r="A42" i="3" s="1"/>
  <c r="A43" i="3" s="1"/>
  <c r="A45" i="3" s="1"/>
  <c r="A47" i="3" s="1"/>
  <c r="A49" i="3" s="1"/>
</calcChain>
</file>

<file path=xl/sharedStrings.xml><?xml version="1.0" encoding="utf-8"?>
<sst xmlns="http://schemas.openxmlformats.org/spreadsheetml/2006/main" count="240" uniqueCount="201">
  <si>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</si>
  <si>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</si>
  <si>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</si>
  <si>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</si>
  <si>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</si>
  <si>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</si>
  <si>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</si>
  <si>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</si>
  <si>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</si>
  <si>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</si>
  <si>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</si>
  <si>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</si>
  <si>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</si>
  <si>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</si>
  <si>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</si>
  <si>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</si>
  <si>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</si>
  <si>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</si>
  <si>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</si>
  <si>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</si>
  <si>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</si>
  <si>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</si>
  <si>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</si>
  <si>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</si>
  <si>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</si>
  <si>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</si>
  <si>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</si>
  <si>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</si>
  <si>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</si>
  <si>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</si>
  <si>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</si>
  <si>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</si>
  <si>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</si>
  <si>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</si>
  <si>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</si>
  <si>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</si>
  <si>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</si>
  <si>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</si>
  <si>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</si>
  <si>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</si>
  <si>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</si>
  <si>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</si>
  <si>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</si>
  <si>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</si>
  <si>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</si>
  <si>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</si>
  <si>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</si>
  <si>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</si>
  <si>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</si>
  <si>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</si>
  <si>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</si>
  <si>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</si>
  <si>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</si>
  <si>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</si>
  <si>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</si>
  <si>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</si>
  <si>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</si>
  <si>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</si>
  <si>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</si>
  <si>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</si>
  <si>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</si>
  <si>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</si>
  <si>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</si>
  <si>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</si>
  <si>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</si>
  <si>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</si>
  <si>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</si>
  <si>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</si>
  <si>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</si>
  <si>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</si>
  <si>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</si>
  <si>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</si>
  <si>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</si>
  <si>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</si>
  <si>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</si>
  <si>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</si>
  <si>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</si>
  <si>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</si>
  <si>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</si>
  <si>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</si>
  <si>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</si>
  <si>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</si>
  <si>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</si>
  <si>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</si>
  <si>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</si>
  <si>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</si>
  <si>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</si>
  <si>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</si>
  <si>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</si>
  <si>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</si>
  <si>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</si>
  <si>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</si>
  <si>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</si>
  <si>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</si>
  <si>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</si>
  <si>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</si>
  <si>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</si>
  <si>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</si>
  <si>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</si>
  <si>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</si>
  <si>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</si>
  <si>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</si>
  <si>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</si>
  <si>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</si>
  <si>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</si>
  <si>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</si>
  <si>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</si>
  <si>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</si>
  <si>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</si>
  <si>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</si>
  <si>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</si>
  <si>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</si>
  <si>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</si>
  <si>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</si>
  <si>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</si>
  <si>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</si>
  <si>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</si>
  <si>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</si>
  <si>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</si>
  <si>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</si>
  <si>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</si>
  <si>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</si>
  <si>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</si>
  <si>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</si>
  <si>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</si>
  <si>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</si>
  <si>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</si>
  <si>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</si>
  <si>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</si>
  <si>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</si>
  <si>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</si>
  <si>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</si>
  <si>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</si>
  <si>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</si>
  <si>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</si>
  <si>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</si>
  <si>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</si>
  <si>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</si>
  <si>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</si>
  <si>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</si>
  <si>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</si>
  <si>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</si>
  <si>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</si>
  <si>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</si>
  <si>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</si>
  <si>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</si>
  <si>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</si>
  <si>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</si>
  <si>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</si>
  <si>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</si>
  <si>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Shares outstanding </t>
  </si>
  <si>
    <t>Growth Rate</t>
  </si>
  <si>
    <t>Sales Growth Rates</t>
  </si>
  <si>
    <t>Product Sales Growth Rate</t>
  </si>
  <si>
    <t>Total Net Sales Growth Rate</t>
  </si>
  <si>
    <t>Gross profit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</si>
  <si>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</si>
  <si>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</si>
  <si>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</si>
  <si>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</si>
  <si>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</si>
  <si>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</si>
  <si>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</si>
  <si>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</si>
  <si>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</si>
  <si>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</si>
  <si>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</si>
  <si>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</si>
  <si>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</si>
  <si>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>Services Sales Growth Rate</t>
  </si>
  <si>
    <t>% Growth rate calculated from 2020 to 2022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</si>
  <si>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</si>
  <si>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</si>
  <si>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</si>
  <si>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</si>
  <si>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</si>
  <si>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</si>
  <si>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</si>
  <si>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Income Tax Rate</t>
  </si>
  <si>
    <t>Capex as a % of Sales</t>
  </si>
  <si>
    <t xml:space="preserve">Capex as a % of Fixed Assets </t>
  </si>
  <si>
    <t>Additional % Calculations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</si>
  <si>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</si>
  <si>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</si>
  <si>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Please link formula to the Financial Statements sheet</t>
  </si>
  <si>
    <t>(Inventory / COGS) x 365</t>
  </si>
  <si>
    <t>Inventory Days + Receivable Days - Payable Days</t>
  </si>
  <si>
    <t>Row 18 Financial Statements sheet</t>
  </si>
  <si>
    <t>EBIT + Depreciation and amortization</t>
  </si>
  <si>
    <t>EBIT / Interest Expense</t>
  </si>
  <si>
    <t>Cannot include future (2021) asset value for 2020 calculation. Average should be always Current year + Past year/2</t>
  </si>
  <si>
    <t>Should be linked to Diluted share outstanding, average not required</t>
  </si>
  <si>
    <t>Multiply share count by 1000</t>
  </si>
  <si>
    <t>Link dividends with - sign</t>
  </si>
  <si>
    <t>Remove all 1000 multiplication and division from the formula and divide the only the share count by 1000 in brackets</t>
  </si>
  <si>
    <t>Add Proceeds from issuance of term debt and repayments of term debt to this</t>
  </si>
  <si>
    <t>EBIT / Capital Employed, where Capital Employed = Shareholder Equity + Term debt</t>
  </si>
  <si>
    <t>Feedback</t>
  </si>
  <si>
    <t>Calculate growth rate for year 2022 and 2021 in 2 columns, not the three year growth rate</t>
  </si>
  <si>
    <t>Do not multiply by 100, instead use the % formatting</t>
  </si>
  <si>
    <t>Do not multiply by 100, instead use the % formatting, link capex with -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</si>
</sst>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1" applyNumberFormat="1" applyFont="1" applyFill="1"/>
    <xf numFmtId="166" fontId="2" fillId="0" borderId="1" xfId="1" applyNumberFormat="1" applyFont="1" applyFill="1" applyBorder="1"/>
    <xf numFmtId="0" fontId="8" fillId="0" borderId="0" xfId="0" applyFont="1"/>
    <xf numFmtId="165" fontId="0" fillId="0" borderId="0" xfId="0" applyNumberFormat="1"/>
    <xf numFmtId="164" fontId="0" fillId="0" borderId="0" xfId="0" applyNumberFormat="1"/>
    <xf numFmtId="166" fontId="2" fillId="0" borderId="2" xfId="1" applyNumberFormat="1" applyFont="1" applyFill="1" applyBorder="1"/>
    <xf numFmtId="0" fontId="2" fillId="0" borderId="0" xfId="0" applyFont="1" applyAlignment="1"/>
    <xf numFmtId="0" fontId="2" fillId="0" borderId="0" xfId="0" applyFont="1" applyBorder="1"/>
    <xf numFmtId="0" fontId="0" fillId="0" borderId="0" xfId="0" applyBorder="1" applyAlignment="1">
      <alignment horizontal="left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168" fontId="8" fillId="0" borderId="0" xfId="0" applyNumberFormat="1" applyFo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zoomScale="158" workbookViewId="0">
      <selection activeCell="A32" sqref="A32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24" zoomScaleNormal="100" workbookViewId="0">
      <selection activeCell="B50" sqref="B50"/>
    </sheetView>
  </sheetViews>
  <sheetFormatPr defaultColWidth="8.77734375" defaultRowHeight="14.4" x14ac:dyDescent="0.3"/>
  <cols>
    <col min="1" max="1" width="59" customWidth="1"/>
    <col min="2" max="4" width="13.77734375" bestFit="1" customWidth="1"/>
    <col min="5" max="5" width="11.1093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4" t="s">
        <v>1</v>
      </c>
      <c r="B2" s="34"/>
      <c r="C2" s="34"/>
      <c r="D2" s="34"/>
    </row>
    <row r="3" spans="1:10" x14ac:dyDescent="0.3">
      <c r="B3" s="33" t="s">
        <v>23</v>
      </c>
      <c r="C3" s="33"/>
      <c r="D3" s="3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28">
        <f>+B20-B21</f>
        <v>99803</v>
      </c>
      <c r="C22" s="28">
        <f t="shared" ref="C22:D22" si="7">+C20-C21</f>
        <v>94680</v>
      </c>
      <c r="D22" s="28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29" spans="1:4" x14ac:dyDescent="0.3">
      <c r="A29" s="1" t="s">
        <v>150</v>
      </c>
      <c r="B29" s="27">
        <f>(B27+B28)/2</f>
        <v>16270891</v>
      </c>
      <c r="C29" s="27">
        <f t="shared" ref="C29:D29" si="8">(C27+C28)/2</f>
        <v>16783095.5</v>
      </c>
      <c r="D29" s="27">
        <f t="shared" si="8"/>
        <v>17440166.5</v>
      </c>
    </row>
    <row r="31" spans="1:4" x14ac:dyDescent="0.3">
      <c r="A31" s="34" t="s">
        <v>24</v>
      </c>
      <c r="B31" s="34"/>
      <c r="C31" s="34"/>
      <c r="D31" s="34"/>
    </row>
    <row r="32" spans="1:4" x14ac:dyDescent="0.3">
      <c r="B32" s="33" t="s">
        <v>142</v>
      </c>
      <c r="C32" s="33"/>
      <c r="D32" s="33"/>
    </row>
    <row r="33" spans="1:5" x14ac:dyDescent="0.3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5" x14ac:dyDescent="0.3">
      <c r="A35" t="s">
        <v>25</v>
      </c>
    </row>
    <row r="36" spans="1:5" x14ac:dyDescent="0.3">
      <c r="A36" s="1" t="s">
        <v>26</v>
      </c>
      <c r="B36" s="23">
        <v>23646</v>
      </c>
      <c r="C36" s="23">
        <v>34940</v>
      </c>
      <c r="D36" s="23">
        <v>38016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3">
      <c r="A39" s="1" t="s">
        <v>29</v>
      </c>
      <c r="B39" s="23">
        <v>4946</v>
      </c>
      <c r="C39" s="23">
        <v>6580</v>
      </c>
      <c r="D39" s="23">
        <v>4061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3">
      <c r="A42" s="8" t="s">
        <v>31</v>
      </c>
      <c r="B42" s="24">
        <f>+SUM(B36:B41)</f>
        <v>135405</v>
      </c>
      <c r="C42" s="24">
        <f t="shared" ref="C42:D42" si="10">+SUM(C36:C41)</f>
        <v>134836</v>
      </c>
      <c r="D42" s="24">
        <f t="shared" si="10"/>
        <v>143713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3">
      <c r="A45" s="1" t="s">
        <v>32</v>
      </c>
      <c r="B45" s="23">
        <v>42117</v>
      </c>
      <c r="C45" s="23">
        <v>39440</v>
      </c>
      <c r="D45" s="23">
        <v>36766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  <c r="E48" s="26"/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</row>
    <row r="70" spans="1:4" ht="15" thickTop="1" x14ac:dyDescent="0.3"/>
    <row r="71" spans="1:4" x14ac:dyDescent="0.3">
      <c r="A71" s="34" t="s">
        <v>55</v>
      </c>
      <c r="B71" s="34"/>
      <c r="C71" s="34"/>
      <c r="D71" s="34"/>
    </row>
    <row r="72" spans="1:4" x14ac:dyDescent="0.3">
      <c r="B72" s="33" t="s">
        <v>23</v>
      </c>
      <c r="C72" s="33"/>
      <c r="D72" s="33"/>
    </row>
    <row r="73" spans="1:4" x14ac:dyDescent="0.3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24">
        <f>+SUM(B93:B98)</f>
        <v>-22354</v>
      </c>
      <c r="C99" s="24">
        <f t="shared" ref="C99:D99" si="21">+SUM(C93:C98)</f>
        <v>-14545</v>
      </c>
      <c r="D99" s="24">
        <f t="shared" si="21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23">
        <v>-14841</v>
      </c>
      <c r="C102" s="23">
        <v>-14467</v>
      </c>
      <c r="D102" s="23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E1" sqref="E1"/>
    </sheetView>
  </sheetViews>
  <sheetFormatPr defaultColWidth="11.5546875" defaultRowHeight="14.4" x14ac:dyDescent="0.3"/>
  <cols>
    <col min="1" max="1" width="5.33203125" customWidth="1"/>
    <col min="2" max="2" width="45.33203125" bestFit="1" customWidth="1"/>
    <col min="6" max="6" width="13" customWidth="1"/>
  </cols>
  <sheetData>
    <row r="1" spans="1:10" ht="52.05" customHeight="1" x14ac:dyDescent="0.5">
      <c r="A1" s="6"/>
      <c r="B1" s="20" t="s">
        <v>0</v>
      </c>
      <c r="C1" s="19"/>
      <c r="D1" s="19"/>
      <c r="E1" s="39" t="s">
        <v>197</v>
      </c>
      <c r="F1" s="19"/>
      <c r="G1" s="19"/>
      <c r="H1" s="19"/>
      <c r="I1" s="19"/>
      <c r="J1" s="19"/>
    </row>
    <row r="2" spans="1:10" ht="16.95" customHeight="1" x14ac:dyDescent="0.3">
      <c r="B2" s="35" t="s">
        <v>170</v>
      </c>
      <c r="C2" s="35"/>
      <c r="D2" s="32"/>
      <c r="E2" s="29"/>
    </row>
    <row r="3" spans="1:10" x14ac:dyDescent="0.3">
      <c r="C3" s="7" t="s">
        <v>151</v>
      </c>
      <c r="D3" s="7"/>
      <c r="E3" s="7"/>
    </row>
    <row r="4" spans="1:10" x14ac:dyDescent="0.3">
      <c r="A4" s="18">
        <v>1</v>
      </c>
      <c r="B4" s="29" t="s">
        <v>152</v>
      </c>
    </row>
    <row r="5" spans="1:10" x14ac:dyDescent="0.3">
      <c r="A5" s="18">
        <f t="shared" ref="A5:A24" si="0">+A4+0.1</f>
        <v>1.1000000000000001</v>
      </c>
      <c r="B5" s="1" t="s">
        <v>153</v>
      </c>
      <c r="C5">
        <f>(('Financial Statements'!B6-'Financial Statements'!D6)/'Financial Statements'!D6)*100</f>
        <v>43.240451738868479</v>
      </c>
      <c r="E5" t="s">
        <v>198</v>
      </c>
    </row>
    <row r="6" spans="1:10" x14ac:dyDescent="0.3">
      <c r="A6" s="18">
        <f t="shared" si="0"/>
        <v>1.2000000000000002</v>
      </c>
      <c r="B6" s="1" t="s">
        <v>169</v>
      </c>
      <c r="C6">
        <f>(('Financial Statements'!B7-'Financial Statements'!D7)/'Financial Statements'!D7)*100</f>
        <v>45.307617914000893</v>
      </c>
      <c r="I6" s="1"/>
    </row>
    <row r="7" spans="1:10" x14ac:dyDescent="0.3">
      <c r="A7" s="18">
        <f t="shared" si="0"/>
        <v>1.3000000000000003</v>
      </c>
      <c r="B7" s="31" t="s">
        <v>154</v>
      </c>
      <c r="C7">
        <f>(('Financial Statements'!B8-'Financial Statements'!D8)/'Financial Statements'!D8)*100</f>
        <v>43.645338141813745</v>
      </c>
      <c r="I7" s="1"/>
    </row>
    <row r="8" spans="1:10" x14ac:dyDescent="0.3">
      <c r="A8" s="18"/>
      <c r="B8" s="30"/>
    </row>
    <row r="9" spans="1:10" x14ac:dyDescent="0.3">
      <c r="A9" s="18">
        <v>2</v>
      </c>
      <c r="B9" s="17" t="s">
        <v>155</v>
      </c>
      <c r="C9">
        <f>(('Financial Statements'!B13-'Financial Statements'!D13)/'Financial Statements'!D13)*100</f>
        <v>62.717710278592932</v>
      </c>
    </row>
    <row r="10" spans="1:10" x14ac:dyDescent="0.3">
      <c r="A10" s="18"/>
    </row>
    <row r="11" spans="1:10" x14ac:dyDescent="0.3">
      <c r="A11" s="18">
        <v>3</v>
      </c>
      <c r="B11" s="7" t="s">
        <v>156</v>
      </c>
    </row>
    <row r="12" spans="1:10" x14ac:dyDescent="0.3">
      <c r="A12" s="18">
        <f t="shared" si="0"/>
        <v>3.1</v>
      </c>
      <c r="B12" s="1" t="s">
        <v>157</v>
      </c>
      <c r="C12">
        <f>(('Financial Statements'!B15-'Financial Statements'!D15)/'Financial Statements'!D15)*100</f>
        <v>39.99040102389079</v>
      </c>
    </row>
    <row r="13" spans="1:10" x14ac:dyDescent="0.3">
      <c r="A13" s="18">
        <f t="shared" si="0"/>
        <v>3.2</v>
      </c>
      <c r="B13" s="1" t="s">
        <v>158</v>
      </c>
      <c r="C13">
        <f>(('Financial Statements'!B16-'Financial Statements'!D16)/'Financial Statements'!D16)*100</f>
        <v>25.999196625828482</v>
      </c>
    </row>
    <row r="14" spans="1:10" x14ac:dyDescent="0.3">
      <c r="A14" s="18"/>
    </row>
    <row r="15" spans="1:10" x14ac:dyDescent="0.3">
      <c r="A15" s="18">
        <v>4</v>
      </c>
      <c r="B15" s="7" t="s">
        <v>159</v>
      </c>
    </row>
    <row r="16" spans="1:10" x14ac:dyDescent="0.3">
      <c r="A16" s="18">
        <f t="shared" si="0"/>
        <v>4.0999999999999996</v>
      </c>
      <c r="B16" s="1" t="s">
        <v>160</v>
      </c>
      <c r="C16">
        <f>(('Financial Statements'!B36-'Financial Statements'!D36)/'Financial Statements'!D36)*100</f>
        <v>-37.799873737373737</v>
      </c>
    </row>
    <row r="17" spans="1:3" x14ac:dyDescent="0.3">
      <c r="A17" s="18">
        <f t="shared" si="0"/>
        <v>4.1999999999999993</v>
      </c>
      <c r="B17" s="1" t="s">
        <v>161</v>
      </c>
      <c r="C17">
        <f>(('Financial Statements'!B37-'Financial Statements'!D37)/'Financial Statements'!D37)*100</f>
        <v>-53.41130235985414</v>
      </c>
    </row>
    <row r="18" spans="1:3" x14ac:dyDescent="0.3">
      <c r="A18" s="18">
        <f t="shared" si="0"/>
        <v>4.2999999999999989</v>
      </c>
      <c r="B18" s="1" t="s">
        <v>162</v>
      </c>
      <c r="C18">
        <f>(('Financial Statements'!B38-'Financial Statements'!D38)/'Financial Statements'!D38)*100</f>
        <v>74.838709677419359</v>
      </c>
    </row>
    <row r="19" spans="1:3" x14ac:dyDescent="0.3">
      <c r="A19" s="18">
        <f t="shared" si="0"/>
        <v>4.3999999999999986</v>
      </c>
      <c r="B19" s="1" t="s">
        <v>163</v>
      </c>
      <c r="C19">
        <f>(('Financial Statements'!B39-'Financial Statements'!D39)/'Financial Statements'!D39)*100</f>
        <v>21.792661905934498</v>
      </c>
    </row>
    <row r="20" spans="1:3" x14ac:dyDescent="0.3">
      <c r="A20" s="18">
        <f t="shared" si="0"/>
        <v>4.4999999999999982</v>
      </c>
      <c r="B20" s="1" t="s">
        <v>164</v>
      </c>
      <c r="C20">
        <f>(('Financial Statements'!B40-'Financial Statements'!D40)/'Financial Statements'!D40)*100</f>
        <v>53.566236811254399</v>
      </c>
    </row>
    <row r="21" spans="1:3" x14ac:dyDescent="0.3">
      <c r="A21" s="18">
        <f t="shared" si="0"/>
        <v>4.5999999999999979</v>
      </c>
      <c r="B21" s="1" t="s">
        <v>165</v>
      </c>
      <c r="C21">
        <f>(('Financial Statements'!B41-'Financial Statements'!D41)/'Financial Statements'!D41)*100</f>
        <v>88.41441761363636</v>
      </c>
    </row>
    <row r="22" spans="1:3" x14ac:dyDescent="0.3">
      <c r="A22" s="18">
        <f t="shared" si="0"/>
        <v>4.6999999999999975</v>
      </c>
      <c r="B22" s="1" t="s">
        <v>166</v>
      </c>
      <c r="C22">
        <f>(('Financial Statements'!B44-'Financial Statements'!D44)/'Financial Statements'!D44)*100</f>
        <v>19.742880648646505</v>
      </c>
    </row>
    <row r="23" spans="1:3" x14ac:dyDescent="0.3">
      <c r="A23" s="18">
        <f t="shared" si="0"/>
        <v>4.7999999999999972</v>
      </c>
      <c r="B23" s="1" t="s">
        <v>167</v>
      </c>
      <c r="C23">
        <f>(('Financial Statements'!B45-'Financial Statements'!D45)/'Financial Statements'!D45)*100</f>
        <v>14.554207691889246</v>
      </c>
    </row>
    <row r="24" spans="1:3" x14ac:dyDescent="0.3">
      <c r="A24" s="18">
        <f t="shared" si="0"/>
        <v>4.8999999999999968</v>
      </c>
      <c r="B24" s="1" t="s">
        <v>168</v>
      </c>
      <c r="C24">
        <f>(('Financial Statements'!B46-'Financial Statements'!D46)/'Financial Statements'!D46)*100</f>
        <v>27.999623724189831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0" zoomScaleNormal="110" workbookViewId="0">
      <selection activeCell="E4" sqref="E4"/>
    </sheetView>
  </sheetViews>
  <sheetFormatPr defaultColWidth="11.5546875" defaultRowHeight="14.4" x14ac:dyDescent="0.3"/>
  <cols>
    <col min="1" max="1" width="5" customWidth="1"/>
    <col min="2" max="2" width="36.33203125" bestFit="1" customWidth="1"/>
  </cols>
  <sheetData>
    <row r="1" spans="1:10" ht="45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ht="18" customHeight="1" x14ac:dyDescent="0.3">
      <c r="A2" s="36" t="s">
        <v>171</v>
      </c>
      <c r="B2" s="36"/>
      <c r="C2" s="36"/>
      <c r="D2" s="36"/>
      <c r="E2" s="36"/>
    </row>
    <row r="3" spans="1:10" x14ac:dyDescent="0.3">
      <c r="C3" s="7">
        <v>2022</v>
      </c>
      <c r="D3" s="7">
        <v>2021</v>
      </c>
      <c r="E3" s="7">
        <v>2020</v>
      </c>
    </row>
    <row r="5" spans="1:10" x14ac:dyDescent="0.3">
      <c r="A5" s="18">
        <v>1</v>
      </c>
      <c r="B5" s="7" t="s">
        <v>172</v>
      </c>
      <c r="C5">
        <f>('Financial Statements'!B12/'Financial Statements'!B8)*100</f>
        <v>56.690369438639912</v>
      </c>
      <c r="D5">
        <f>('Financial Statements'!C12/'Financial Statements'!C8)*100</f>
        <v>58.220640374832222</v>
      </c>
      <c r="E5">
        <f>('Financial Statements'!D12/'Financial Statements'!D8)*100</f>
        <v>61.76675227218913</v>
      </c>
      <c r="F5" t="s">
        <v>199</v>
      </c>
    </row>
    <row r="6" spans="1:10" x14ac:dyDescent="0.3">
      <c r="A6" s="18">
        <v>2</v>
      </c>
      <c r="B6" s="7" t="s">
        <v>173</v>
      </c>
      <c r="C6">
        <f>('Financial Statements'!B13/'Financial Statements'!B8)*100</f>
        <v>43.309630561360088</v>
      </c>
      <c r="D6">
        <f>('Financial Statements'!C13/'Financial Statements'!C8)*100</f>
        <v>41.779359625167778</v>
      </c>
      <c r="E6">
        <f>('Financial Statements'!D13/'Financial Statements'!D8)*100</f>
        <v>38.233247727810863</v>
      </c>
      <c r="F6" t="s">
        <v>199</v>
      </c>
    </row>
    <row r="7" spans="1:10" x14ac:dyDescent="0.3">
      <c r="A7" s="18">
        <v>3</v>
      </c>
      <c r="B7" s="7" t="s">
        <v>174</v>
      </c>
      <c r="C7">
        <f>('Financial Statements'!B15/'Financial Statements'!B8)*100</f>
        <v>6.6571483637986653</v>
      </c>
      <c r="D7">
        <f>('Financial Statements'!C15/'Financial Statements'!C8)*100</f>
        <v>5.9904269074427923</v>
      </c>
      <c r="E7">
        <f>('Financial Statements'!D15/'Financial Statements'!D8)*100</f>
        <v>6.8309564140393064</v>
      </c>
      <c r="F7" t="s">
        <v>199</v>
      </c>
    </row>
    <row r="8" spans="1:10" x14ac:dyDescent="0.3">
      <c r="A8" s="18">
        <v>4</v>
      </c>
      <c r="B8" s="7" t="s">
        <v>175</v>
      </c>
      <c r="C8">
        <f>('Financial Statements'!B16/'Financial Statements'!B8)*100</f>
        <v>6.3637378020328264</v>
      </c>
      <c r="D8">
        <f>('Financial Statements'!C16/'Financial Statements'!C8)*100</f>
        <v>6.0065551901633878</v>
      </c>
      <c r="E8">
        <f>('Financial Statements'!D16/'Financial Statements'!D8)*100</f>
        <v>7.254976959364698</v>
      </c>
      <c r="F8" t="s">
        <v>199</v>
      </c>
    </row>
    <row r="9" spans="1:10" x14ac:dyDescent="0.3">
      <c r="A9" s="18">
        <v>5</v>
      </c>
      <c r="B9" s="7" t="s">
        <v>176</v>
      </c>
      <c r="C9">
        <f>('Financial Statements'!B18/'Financial Statements'!B8)*100</f>
        <v>30.288744395528592</v>
      </c>
      <c r="D9">
        <f>('Financial Statements'!C18/'Financial Statements'!C8)*100</f>
        <v>29.782377527561593</v>
      </c>
      <c r="E9">
        <f>('Financial Statements'!D18/'Financial Statements'!D8)*100</f>
        <v>24.147314354406863</v>
      </c>
      <c r="F9" t="s">
        <v>199</v>
      </c>
    </row>
    <row r="10" spans="1:10" x14ac:dyDescent="0.3">
      <c r="A10" s="18">
        <v>6</v>
      </c>
      <c r="B10" s="7" t="s">
        <v>177</v>
      </c>
      <c r="C10">
        <f>('Financial Statements'!B22/'Financial Statements'!B8)*100</f>
        <v>25.309640705199733</v>
      </c>
      <c r="D10">
        <f>('Financial Statements'!C22/'Financial Statements'!C8)*100</f>
        <v>25.881793355694239</v>
      </c>
      <c r="E10">
        <f>('Financial Statements'!D22/'Financial Statements'!D8)*100</f>
        <v>20.913611278072235</v>
      </c>
      <c r="F10" t="s">
        <v>199</v>
      </c>
    </row>
    <row r="12" spans="1:10" x14ac:dyDescent="0.3">
      <c r="B12" s="7"/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90" zoomScaleNormal="90" workbookViewId="0">
      <selection activeCell="G1" sqref="G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6.44140625" bestFit="1" customWidth="1"/>
    <col min="4" max="4" width="15" bestFit="1" customWidth="1"/>
    <col min="5" max="5" width="17.77734375" bestFit="1" customWidth="1"/>
    <col min="7" max="7" width="27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40" t="s">
        <v>197</v>
      </c>
      <c r="H1" s="19"/>
      <c r="I1" s="19"/>
      <c r="J1" s="19"/>
    </row>
    <row r="2" spans="1:10" x14ac:dyDescent="0.3">
      <c r="C2" s="7">
        <f>+'Financial Statements'!B4</f>
        <v>2022</v>
      </c>
      <c r="D2" s="7">
        <f>+'Financial Statements'!C4</f>
        <v>2021</v>
      </c>
      <c r="E2" s="7">
        <f>+'Financial Statements'!D4</f>
        <v>2020</v>
      </c>
    </row>
    <row r="3" spans="1:10" x14ac:dyDescent="0.3">
      <c r="A3" s="18">
        <v>1</v>
      </c>
      <c r="B3" s="7" t="s">
        <v>99</v>
      </c>
    </row>
    <row r="4" spans="1:10" x14ac:dyDescent="0.3">
      <c r="A4" s="18">
        <f t="shared" ref="A4:A12" si="0">+A3+0.1</f>
        <v>1.1000000000000001</v>
      </c>
      <c r="B4" s="1" t="s">
        <v>100</v>
      </c>
      <c r="C4" s="37">
        <f>'Financial Statements'!B42/'Financial Statements'!B56</f>
        <v>0.87935602862672257</v>
      </c>
      <c r="D4" s="37">
        <f>'Financial Statements'!C42/'Financial Statements'!C56</f>
        <v>1.0745531195957954</v>
      </c>
      <c r="E4" s="37">
        <f>'Financial Statements'!D42/'Financial Statements'!D56</f>
        <v>1.3636044481554577</v>
      </c>
    </row>
    <row r="5" spans="1:10" x14ac:dyDescent="0.3">
      <c r="A5" s="18">
        <f t="shared" si="0"/>
        <v>1.2000000000000002</v>
      </c>
      <c r="B5" s="1" t="s">
        <v>101</v>
      </c>
      <c r="C5" s="37">
        <f>('Financial Statements'!B42-'Financial Statements'!B39)/'Financial Statements'!B56</f>
        <v>0.84723539114961488</v>
      </c>
      <c r="D5" s="37">
        <f>('Financial Statements'!C42-'Financial Statements'!C39)/'Financial Statements'!C56</f>
        <v>1.0221149018576519</v>
      </c>
      <c r="E5" s="37">
        <f>('Financial Statements'!D42-'Financial Statements'!D39)/'Financial Statements'!D56</f>
        <v>1.325072111735236</v>
      </c>
      <c r="G5" t="s">
        <v>182</v>
      </c>
    </row>
    <row r="6" spans="1:10" x14ac:dyDescent="0.3">
      <c r="A6" s="18">
        <f t="shared" si="0"/>
        <v>1.3000000000000003</v>
      </c>
      <c r="B6" s="1" t="s">
        <v>102</v>
      </c>
      <c r="C6" s="37">
        <f>('Financial Statements'!B36-'Financial Statements'!B99)/'Financial Statements'!B56</f>
        <v>0.29873621592134147</v>
      </c>
      <c r="D6" s="37">
        <f>('Financial Statements'!C36-'Financial Statements'!C99)/'Financial Statements'!C56</f>
        <v>0.39436249312644944</v>
      </c>
      <c r="E6" s="37">
        <f>('Financial Statements'!D36-'Financial Statements'!D99)/'Financial Statements'!D56</f>
        <v>0.40140617883710339</v>
      </c>
    </row>
    <row r="7" spans="1:10" x14ac:dyDescent="0.3">
      <c r="A7" s="18">
        <f t="shared" si="0"/>
        <v>1.4000000000000004</v>
      </c>
      <c r="B7" s="1" t="s">
        <v>103</v>
      </c>
      <c r="C7" s="37">
        <f>'Financial Statements'!B42/('Financial Statements'!B17/365)</f>
        <v>962.56354075372474</v>
      </c>
      <c r="D7" s="37">
        <f>'Financial Statements'!C42/('Financial Statements'!C17/365)</f>
        <v>1121.4058832911796</v>
      </c>
      <c r="E7" s="37">
        <f>'Financial Statements'!D42/('Financial Statements'!D17/365)</f>
        <v>1356.5543860556534</v>
      </c>
      <c r="G7" t="s">
        <v>183</v>
      </c>
    </row>
    <row r="8" spans="1:10" x14ac:dyDescent="0.3">
      <c r="A8" s="18">
        <f t="shared" si="0"/>
        <v>1.5000000000000004</v>
      </c>
      <c r="B8" s="1" t="s">
        <v>104</v>
      </c>
      <c r="C8" s="37">
        <f>'Financial Statements'!B8/'Financial Statements'!B39</f>
        <v>79.726647796198947</v>
      </c>
      <c r="D8" s="37">
        <f>'Financial Statements'!C8/'Financial Statements'!C39</f>
        <v>55.595288753799394</v>
      </c>
      <c r="E8" s="37">
        <f>'Financial Statements'!D8/'Financial Statements'!D39</f>
        <v>67.597882295001227</v>
      </c>
      <c r="G8" t="s">
        <v>185</v>
      </c>
    </row>
    <row r="9" spans="1:10" x14ac:dyDescent="0.3">
      <c r="A9" s="18">
        <f t="shared" si="0"/>
        <v>1.6000000000000005</v>
      </c>
      <c r="B9" s="1" t="s">
        <v>105</v>
      </c>
      <c r="C9" s="37">
        <f>('Financial Statements'!B51/'Financial Statements'!B12)*365</f>
        <v>104.68527730310539</v>
      </c>
      <c r="D9" s="37">
        <f>('Financial Statements'!C51/'Financial Statements'!C12)*365</f>
        <v>93.851071222315596</v>
      </c>
      <c r="E9" s="37">
        <f>('Financial Statements'!D51/'Financial Statements'!D12)*365</f>
        <v>91.048189715674198</v>
      </c>
    </row>
    <row r="10" spans="1:10" x14ac:dyDescent="0.3">
      <c r="A10" s="18">
        <f t="shared" si="0"/>
        <v>1.7000000000000006</v>
      </c>
      <c r="B10" s="1" t="s">
        <v>106</v>
      </c>
      <c r="C10" s="37">
        <f>('Financial Statements'!B38/'Financial Statements'!B8)*365</f>
        <v>26.087825363656648</v>
      </c>
      <c r="D10" s="37">
        <f>('Financial Statements'!C38/'Financial Statements'!C8)*365</f>
        <v>26.219311841713207</v>
      </c>
      <c r="E10" s="37">
        <f>('Financial Statements'!D38/'Financial Statements'!D8)*365</f>
        <v>21.433437152796749</v>
      </c>
    </row>
    <row r="11" spans="1:10" x14ac:dyDescent="0.3">
      <c r="A11" s="18">
        <f t="shared" si="0"/>
        <v>1.8000000000000007</v>
      </c>
      <c r="B11" s="1" t="s">
        <v>107</v>
      </c>
      <c r="C11" s="37">
        <f>C9+C10</f>
        <v>130.77310266676204</v>
      </c>
      <c r="D11" s="37">
        <f t="shared" ref="D11:E11" si="1">D9+D10</f>
        <v>120.0703830640288</v>
      </c>
      <c r="E11" s="37">
        <f t="shared" si="1"/>
        <v>112.48162686847095</v>
      </c>
      <c r="G11" t="s">
        <v>186</v>
      </c>
    </row>
    <row r="12" spans="1:10" x14ac:dyDescent="0.3">
      <c r="A12" s="18">
        <f t="shared" si="0"/>
        <v>1.9000000000000008</v>
      </c>
      <c r="B12" s="1" t="s">
        <v>108</v>
      </c>
      <c r="C12" s="37">
        <f>(C13/'Financial Statements'!B8)*100</f>
        <v>-4.7110527276784806</v>
      </c>
      <c r="D12" s="37">
        <f>(D13/'Financial Statements'!C8)*100</f>
        <v>2.5572895737486232</v>
      </c>
      <c r="E12" s="37">
        <f>(E13/'Financial Statements'!D8)*100</f>
        <v>13.959528623208204</v>
      </c>
    </row>
    <row r="13" spans="1:10" x14ac:dyDescent="0.3">
      <c r="A13" s="18"/>
      <c r="B13" s="3" t="s">
        <v>109</v>
      </c>
      <c r="C13">
        <f>'Financial Statements'!B42-'Financial Statements'!B56</f>
        <v>-18577</v>
      </c>
      <c r="D13">
        <f>'Financial Statements'!C42-'Financial Statements'!C56</f>
        <v>9355</v>
      </c>
      <c r="E13">
        <f>'Financial Statements'!D42-'Financial Statements'!D56</f>
        <v>38321</v>
      </c>
    </row>
    <row r="14" spans="1:10" x14ac:dyDescent="0.3">
      <c r="A14" s="18"/>
    </row>
    <row r="15" spans="1:10" x14ac:dyDescent="0.3">
      <c r="A15" s="18">
        <f>+A3+1</f>
        <v>2</v>
      </c>
      <c r="B15" s="17" t="s">
        <v>110</v>
      </c>
    </row>
    <row r="16" spans="1:10" x14ac:dyDescent="0.3">
      <c r="A16" s="18">
        <f>+A15+0.1</f>
        <v>2.1</v>
      </c>
      <c r="B16" s="1" t="s">
        <v>9</v>
      </c>
      <c r="C16" s="38">
        <v>0.43309630599999999</v>
      </c>
      <c r="D16" s="38">
        <v>0.41779359599999999</v>
      </c>
      <c r="E16" s="38">
        <v>0.382332477</v>
      </c>
      <c r="G16" t="s">
        <v>184</v>
      </c>
    </row>
    <row r="17" spans="1:7" x14ac:dyDescent="0.3">
      <c r="A17" s="18">
        <f>+A16+0.1</f>
        <v>2.2000000000000002</v>
      </c>
      <c r="B17" s="1" t="s">
        <v>111</v>
      </c>
      <c r="C17" s="38">
        <f>(C18/'Financial Statements'!B8)</f>
        <v>0.33746525734921184</v>
      </c>
      <c r="D17" s="38">
        <f>(D18/'Financial Statements'!C8)</f>
        <v>0.33672027270465832</v>
      </c>
      <c r="E17" s="38">
        <f>(E18/'Financial Statements'!D8)</f>
        <v>0.29560861883685774</v>
      </c>
    </row>
    <row r="18" spans="1:7" x14ac:dyDescent="0.3">
      <c r="A18" s="18"/>
      <c r="B18" s="3" t="s">
        <v>112</v>
      </c>
      <c r="C18" s="25">
        <f>'Financial Statements'!B22+'Financial Statements'!B114+'Financial Statements'!B21+'Financial Statements'!B79</f>
        <v>133072</v>
      </c>
      <c r="D18" s="25">
        <f>'Financial Statements'!C22+'Financial Statements'!C114+'Financial Statements'!C21+'Financial Statements'!C79</f>
        <v>123178</v>
      </c>
      <c r="E18" s="25">
        <f>'Financial Statements'!D22+'Financial Statements'!D114+'Financial Statements'!D21+'Financial Statements'!D79</f>
        <v>81149</v>
      </c>
      <c r="G18" t="s">
        <v>188</v>
      </c>
    </row>
    <row r="19" spans="1:7" x14ac:dyDescent="0.3">
      <c r="A19" s="18">
        <f>+A17+0.1</f>
        <v>2.3000000000000003</v>
      </c>
      <c r="B19" s="1" t="s">
        <v>113</v>
      </c>
      <c r="C19" s="25">
        <f>(C20/'Financial Statements'!B8)</f>
        <v>0.30930595849140818</v>
      </c>
      <c r="D19" s="25">
        <f>(D20/'Financial Statements'!C8)</f>
        <v>0.30587424859970969</v>
      </c>
      <c r="E19" s="25">
        <f>(E20/'Financial Statements'!D8)</f>
        <v>0.25533395260732566</v>
      </c>
    </row>
    <row r="20" spans="1:7" x14ac:dyDescent="0.3">
      <c r="A20" s="18"/>
      <c r="B20" s="3" t="s">
        <v>114</v>
      </c>
      <c r="C20" s="25">
        <f>'Financial Statements'!B22+'Financial Statements'!B114+'Financial Statements'!B21</f>
        <v>121968</v>
      </c>
      <c r="D20" s="25">
        <f>'Financial Statements'!C22+'Financial Statements'!C114+'Financial Statements'!C21</f>
        <v>111894</v>
      </c>
      <c r="E20" s="25">
        <f>'Financial Statements'!D22+'Financial Statements'!D114+'Financial Statements'!D21</f>
        <v>70093</v>
      </c>
      <c r="G20" t="s">
        <v>187</v>
      </c>
    </row>
    <row r="21" spans="1:7" x14ac:dyDescent="0.3">
      <c r="A21" s="18">
        <f>+A19+0.1</f>
        <v>2.4000000000000004</v>
      </c>
      <c r="B21" s="1" t="s">
        <v>115</v>
      </c>
      <c r="C21" s="25">
        <v>0.25309640700000002</v>
      </c>
      <c r="D21" s="25">
        <v>0.25881793400000003</v>
      </c>
      <c r="E21" s="25">
        <v>0.20913611300000001</v>
      </c>
      <c r="G21" t="s">
        <v>184</v>
      </c>
    </row>
    <row r="22" spans="1:7" x14ac:dyDescent="0.3">
      <c r="A22" s="18"/>
      <c r="C22" s="25"/>
      <c r="D22" s="25"/>
      <c r="E22" s="25"/>
    </row>
    <row r="23" spans="1:7" x14ac:dyDescent="0.3">
      <c r="A23" s="18">
        <f>+A15+1</f>
        <v>3</v>
      </c>
      <c r="B23" s="7" t="s">
        <v>116</v>
      </c>
      <c r="C23" s="25"/>
      <c r="D23" s="25"/>
      <c r="E23" s="25"/>
    </row>
    <row r="24" spans="1:7" x14ac:dyDescent="0.3">
      <c r="A24" s="18">
        <f t="shared" ref="A24:A29" si="2">+A23+0.1</f>
        <v>3.1</v>
      </c>
      <c r="B24" s="1" t="s">
        <v>117</v>
      </c>
      <c r="C24" s="25">
        <v>5.9615369429999996</v>
      </c>
      <c r="D24" s="25">
        <v>4.5635124429999996</v>
      </c>
      <c r="E24" s="25">
        <v>3.95703944</v>
      </c>
      <c r="G24" t="s">
        <v>184</v>
      </c>
    </row>
    <row r="25" spans="1:7" x14ac:dyDescent="0.3">
      <c r="A25" s="18">
        <f t="shared" si="2"/>
        <v>3.2</v>
      </c>
      <c r="B25" s="1" t="s">
        <v>118</v>
      </c>
      <c r="C25" s="25">
        <v>0.85635355999999996</v>
      </c>
      <c r="D25" s="25">
        <v>0.82025743399999995</v>
      </c>
      <c r="E25" s="25">
        <v>0.79826668499999998</v>
      </c>
      <c r="G25" t="s">
        <v>184</v>
      </c>
    </row>
    <row r="26" spans="1:7" x14ac:dyDescent="0.3">
      <c r="A26" s="18">
        <f t="shared" si="2"/>
        <v>3.3000000000000003</v>
      </c>
      <c r="B26" s="1" t="s">
        <v>119</v>
      </c>
      <c r="C26" s="25">
        <v>0.85635355999999996</v>
      </c>
      <c r="D26" s="25">
        <v>0.82025743399999995</v>
      </c>
      <c r="E26" s="25">
        <v>0.79826668499999998</v>
      </c>
      <c r="G26" t="s">
        <v>184</v>
      </c>
    </row>
    <row r="27" spans="1:7" x14ac:dyDescent="0.3">
      <c r="A27" s="18">
        <f t="shared" si="2"/>
        <v>3.4000000000000004</v>
      </c>
      <c r="B27" s="1" t="s">
        <v>120</v>
      </c>
      <c r="C27" s="25"/>
      <c r="D27" s="25"/>
      <c r="E27" s="25"/>
      <c r="G27" t="s">
        <v>189</v>
      </c>
    </row>
    <row r="28" spans="1:7" x14ac:dyDescent="0.3">
      <c r="A28" s="18">
        <f t="shared" si="2"/>
        <v>3.5000000000000004</v>
      </c>
      <c r="B28" s="1" t="s">
        <v>121</v>
      </c>
      <c r="C28" s="25">
        <v>-12.515665930000001</v>
      </c>
      <c r="D28" s="25">
        <v>-12.451314289999999</v>
      </c>
      <c r="E28" s="25">
        <v>-5.2488716450000004</v>
      </c>
      <c r="G28" t="s">
        <v>184</v>
      </c>
    </row>
    <row r="29" spans="1:7" x14ac:dyDescent="0.3">
      <c r="A29" s="18">
        <f t="shared" si="2"/>
        <v>3.6000000000000005</v>
      </c>
      <c r="B29" s="1" t="s">
        <v>122</v>
      </c>
      <c r="C29" s="26">
        <f>(C30*1000)/'Financial Statements'!B29</f>
        <v>8.4085130924913702</v>
      </c>
      <c r="D29" s="26">
        <f>(D30*1000)/'Financial Statements'!C29</f>
        <v>6.9203562596661623</v>
      </c>
      <c r="E29" s="26">
        <f>(E30*1000)/'Financial Statements'!D29</f>
        <v>4.989631262981348</v>
      </c>
    </row>
    <row r="30" spans="1:7" x14ac:dyDescent="0.3">
      <c r="A30" s="18"/>
      <c r="B30" s="3" t="s">
        <v>123</v>
      </c>
      <c r="C30">
        <f>'Financial Statements'!B91-'Financial Statements'!B96+'Financial Statements'!B106</f>
        <v>136814</v>
      </c>
      <c r="D30">
        <f>'Financial Statements'!C91-'Financial Statements'!C96+'Financial Statements'!C106</f>
        <v>116145</v>
      </c>
      <c r="E30">
        <f>'Financial Statements'!D91-'Financial Statements'!D96+'Financial Statements'!D106</f>
        <v>87020</v>
      </c>
      <c r="G30" t="s">
        <v>195</v>
      </c>
    </row>
    <row r="31" spans="1:7" x14ac:dyDescent="0.3">
      <c r="A31" s="18"/>
    </row>
    <row r="32" spans="1:7" x14ac:dyDescent="0.3">
      <c r="A32" s="18">
        <f>+A23+1</f>
        <v>4</v>
      </c>
      <c r="B32" s="17" t="s">
        <v>124</v>
      </c>
    </row>
    <row r="33" spans="1:8" x14ac:dyDescent="0.3">
      <c r="A33" s="18">
        <f>+A32+0.1</f>
        <v>4.0999999999999996</v>
      </c>
      <c r="B33" s="1" t="s">
        <v>125</v>
      </c>
      <c r="C33" s="37">
        <f>'Financial Statements'!B8/(('Financial Statements'!B48+'Financial Statements'!C48+'Financial Statements'!D48)/3)</f>
        <v>1.1511601769093414</v>
      </c>
      <c r="D33" s="37">
        <f>'Financial Statements'!C8/(('Financial Statements'!B48+'Financial Statements'!C48+'Financial Statements'!D48)/3)</f>
        <v>1.0679281269309928</v>
      </c>
      <c r="E33" s="37">
        <f>'Financial Statements'!D8/(('Financial Statements'!B48+'Financial Statements'!C48+'Financial Statements'!D48)/3)</f>
        <v>0.80139055802344195</v>
      </c>
      <c r="G33" t="s">
        <v>190</v>
      </c>
    </row>
    <row r="34" spans="1:8" x14ac:dyDescent="0.3">
      <c r="A34" s="18">
        <f t="shared" ref="A34:A36" si="3">+A33+0.1</f>
        <v>4.1999999999999993</v>
      </c>
      <c r="B34" s="1" t="s">
        <v>126</v>
      </c>
      <c r="C34" s="37">
        <f>'Financial Statements'!B8/(('Financial Statements'!B45+'Financial Statements'!C45)/2)</f>
        <v>9.6699976703409884</v>
      </c>
      <c r="D34" s="37">
        <f>'Financial Statements'!C8/(('Financial Statements'!C45+'Financial Statements'!D45)/2)</f>
        <v>9.6007400992047867</v>
      </c>
      <c r="E34" s="37">
        <f>'Financial Statements'!D8/'Financial Statements'!D45</f>
        <v>7.4665451776097482</v>
      </c>
    </row>
    <row r="35" spans="1:8" x14ac:dyDescent="0.3">
      <c r="A35" s="18">
        <f t="shared" si="3"/>
        <v>4.2999999999999989</v>
      </c>
      <c r="B35" s="1" t="s">
        <v>127</v>
      </c>
      <c r="C35" s="37">
        <f>'Financial Statements'!B12/(('Financial Statements'!B39+'Financial Statements'!C39)/2)</f>
        <v>38.789866389033492</v>
      </c>
      <c r="D35" s="37">
        <f>'Financial Statements'!C12/(('Financial Statements'!C39+'Financial Statements'!D39)/2)</f>
        <v>40.030260313880277</v>
      </c>
      <c r="E35" s="37">
        <f>'Financial Statements'!D12/'Financial Statements'!D39</f>
        <v>41.753016498399411</v>
      </c>
    </row>
    <row r="36" spans="1:8" x14ac:dyDescent="0.3">
      <c r="A36" s="18">
        <f t="shared" si="3"/>
        <v>4.3999999999999986</v>
      </c>
      <c r="B36" s="1" t="s">
        <v>128</v>
      </c>
      <c r="C36" s="37">
        <f>'Financial Statements'!B22/(('Financial Statements'!B48+'Financial Statements'!C48)/2)</f>
        <v>0.28362915040276687</v>
      </c>
      <c r="D36" s="37">
        <f>'Financial Statements'!C22/(('Financial Statements'!C48+'Financial Statements'!D48)/2)</f>
        <v>0.28057905732786081</v>
      </c>
      <c r="E36" s="37">
        <f>'Financial Statements'!D22/'Financial Statements'!D48</f>
        <v>0.1772557180259843</v>
      </c>
    </row>
    <row r="37" spans="1:8" x14ac:dyDescent="0.3">
      <c r="A37" s="18"/>
    </row>
    <row r="38" spans="1:8" x14ac:dyDescent="0.3">
      <c r="A38" s="18">
        <f>+A32+1</f>
        <v>5</v>
      </c>
      <c r="B38" s="17" t="s">
        <v>129</v>
      </c>
      <c r="G38" s="7"/>
      <c r="H38" s="7"/>
    </row>
    <row r="39" spans="1:8" x14ac:dyDescent="0.3">
      <c r="A39" s="18">
        <f>+A38+0.1</f>
        <v>5.0999999999999996</v>
      </c>
      <c r="B39" s="1" t="s">
        <v>130</v>
      </c>
      <c r="C39" s="26">
        <f>191.81/C40</f>
        <v>31.270799502119175</v>
      </c>
      <c r="D39" s="26">
        <f t="shared" ref="D39:E39" si="4">191.81/D40</f>
        <v>34.00048107155682</v>
      </c>
      <c r="E39" s="26">
        <f t="shared" si="4"/>
        <v>58.267550406106842</v>
      </c>
    </row>
    <row r="40" spans="1:8" x14ac:dyDescent="0.3">
      <c r="A40" s="18">
        <f t="shared" ref="A40:A43" si="5">+A39+0.1</f>
        <v>5.1999999999999993</v>
      </c>
      <c r="B40" s="3" t="s">
        <v>131</v>
      </c>
      <c r="C40" s="26">
        <f>('Financial Statements'!B22*1000)/'Financial Statements'!B29</f>
        <v>6.1338374155416568</v>
      </c>
      <c r="D40" s="26">
        <f>('Financial Statements'!C22*1000)/'Financial Statements'!C29</f>
        <v>5.6413907672753218</v>
      </c>
      <c r="E40" s="26">
        <f>('Financial Statements'!D22*1000)/'Financial Statements'!D29</f>
        <v>3.2918837099404987</v>
      </c>
      <c r="G40" t="s">
        <v>191</v>
      </c>
    </row>
    <row r="41" spans="1:8" x14ac:dyDescent="0.3">
      <c r="A41" s="18">
        <f t="shared" si="5"/>
        <v>5.2999999999999989</v>
      </c>
      <c r="B41" s="1" t="s">
        <v>132</v>
      </c>
      <c r="C41" s="26">
        <f>191.81/('Financial Statements'!B68/'Financial Statements'!B29)</f>
        <v>61590.614199360592</v>
      </c>
      <c r="D41" s="26">
        <f>191.81/('Financial Statements'!C68/'Financial Statements'!C29)</f>
        <v>51024.973020367732</v>
      </c>
      <c r="E41" s="26">
        <f>191.81/('Financial Statements'!D68/'Financial Statements'!D29)</f>
        <v>51197.574746552593</v>
      </c>
      <c r="G41" t="s">
        <v>192</v>
      </c>
    </row>
    <row r="42" spans="1:8" x14ac:dyDescent="0.3">
      <c r="A42" s="18">
        <f t="shared" si="5"/>
        <v>5.3999999999999986</v>
      </c>
      <c r="B42" s="3" t="s">
        <v>133</v>
      </c>
      <c r="C42" s="26">
        <f>'Financial Statements'!B68*1000/'Financial Statements'!B29</f>
        <v>3.1142732134337328</v>
      </c>
      <c r="D42" s="26">
        <f>'Financial Statements'!C68*1000/'Financial Statements'!C29</f>
        <v>3.7591396652661602</v>
      </c>
      <c r="E42" s="26">
        <f>'Financial Statements'!D68*1000/'Financial Statements'!D29</f>
        <v>3.7464665259933154</v>
      </c>
    </row>
    <row r="43" spans="1:8" x14ac:dyDescent="0.3">
      <c r="A43" s="18">
        <f t="shared" si="5"/>
        <v>5.4999999999999982</v>
      </c>
      <c r="B43" s="1" t="s">
        <v>134</v>
      </c>
      <c r="C43" s="26">
        <f>C44/C40</f>
        <v>-0.14870294480125845</v>
      </c>
      <c r="D43" s="26">
        <f t="shared" ref="D43:E43" si="6">D44/D40</f>
        <v>-0.15279890156316012</v>
      </c>
      <c r="E43" s="26">
        <f t="shared" si="6"/>
        <v>-0.24526658654264863</v>
      </c>
    </row>
    <row r="44" spans="1:8" x14ac:dyDescent="0.3">
      <c r="A44" s="18"/>
      <c r="B44" s="3" t="s">
        <v>135</v>
      </c>
      <c r="C44" s="26">
        <f>'Financial Statements'!B102*1000/'Financial Statements'!B29</f>
        <v>-0.91211968662318488</v>
      </c>
      <c r="D44" s="26">
        <f>'Financial Statements'!C102*1000/'Financial Statements'!C29</f>
        <v>-0.86199831252822223</v>
      </c>
      <c r="E44" s="26">
        <f>'Financial Statements'!D102*1000/'Financial Statements'!D29</f>
        <v>-0.80738908083245653</v>
      </c>
      <c r="G44" t="s">
        <v>193</v>
      </c>
    </row>
    <row r="45" spans="1:8" x14ac:dyDescent="0.3">
      <c r="A45" s="18">
        <f>+A43+0.1</f>
        <v>5.5999999999999979</v>
      </c>
      <c r="B45" s="1" t="s">
        <v>136</v>
      </c>
      <c r="C45" s="26">
        <f>(C44/191.81)*100</f>
        <v>-0.47553291623126259</v>
      </c>
      <c r="D45" s="26">
        <f t="shared" ref="D45:E45" si="7">(D44/191.81)*100</f>
        <v>-0.44940217534446703</v>
      </c>
      <c r="E45" s="26">
        <f t="shared" si="7"/>
        <v>-0.42093169325502133</v>
      </c>
    </row>
    <row r="46" spans="1:8" x14ac:dyDescent="0.3">
      <c r="A46" s="18">
        <f t="shared" ref="A46:A49" si="8">+A44+0.1</f>
        <v>0.1</v>
      </c>
      <c r="B46" s="1" t="s">
        <v>137</v>
      </c>
      <c r="C46" s="37">
        <f>'Financial Statements'!B22/('Financial Statements'!B48-'Financial Statements'!B62)</f>
        <v>1.9695887275023682</v>
      </c>
      <c r="D46" s="37">
        <f>'Financial Statements'!C22/('Financial Statements'!C48-'Financial Statements'!C62)</f>
        <v>1.5007132667617689</v>
      </c>
      <c r="E46" s="37">
        <f>'Financial Statements'!D22/('Financial Statements'!B48-'Financial Statements'!B62)</f>
        <v>1.1329925797284497</v>
      </c>
    </row>
    <row r="47" spans="1:8" x14ac:dyDescent="0.3">
      <c r="A47" s="18">
        <f t="shared" si="8"/>
        <v>5.6999999999999975</v>
      </c>
      <c r="B47" s="1" t="s">
        <v>138</v>
      </c>
      <c r="C47" s="37">
        <f>('Financial Statements'!B18/('Financial Statements'!B48-'Financial Statements'!B62))</f>
        <v>2.3570610988317018</v>
      </c>
      <c r="D47" s="37">
        <f>('Financial Statements'!C18/('Financial Statements'!C48-'Financial Statements'!C62))</f>
        <v>1.7268822317324457</v>
      </c>
      <c r="E47" s="37">
        <f>('Financial Statements'!D18/('Financial Statements'!D48-'Financial Statements'!D62))</f>
        <v>1.0145242504476653</v>
      </c>
      <c r="G47" t="s">
        <v>196</v>
      </c>
    </row>
    <row r="48" spans="1:8" x14ac:dyDescent="0.3">
      <c r="A48" s="18">
        <f t="shared" si="8"/>
        <v>0.2</v>
      </c>
      <c r="B48" s="1" t="s">
        <v>128</v>
      </c>
      <c r="C48" s="37">
        <f>'Financial Statements'!B22/'Financial Statements'!B42</f>
        <v>0.73707027066947306</v>
      </c>
      <c r="D48" s="37">
        <f>'Financial Statements'!C22/'Financial Statements'!C42</f>
        <v>0.70218635972588928</v>
      </c>
      <c r="E48" s="37">
        <f>'Financial Statements'!D22/'Financial Statements'!D42</f>
        <v>0.39948369319407429</v>
      </c>
    </row>
    <row r="49" spans="1:7" x14ac:dyDescent="0.3">
      <c r="A49" s="18">
        <f t="shared" si="8"/>
        <v>5.7999999999999972</v>
      </c>
      <c r="B49" s="1" t="s">
        <v>139</v>
      </c>
      <c r="C49" s="26">
        <f>(C50)/('Financial Statements'!B18+'Financial Statements'!B79)</f>
        <v>23.811688302602249</v>
      </c>
      <c r="D49" s="26">
        <f>(D50)/('Financial Statements'!C18+'Financial Statements'!C79)</f>
        <v>26.563743297222892</v>
      </c>
      <c r="E49" s="26">
        <f>(E50)/('Financial Statements'!D18+'Financial Statements'!D79)</f>
        <v>43250.531306436184</v>
      </c>
    </row>
    <row r="50" spans="1:7" x14ac:dyDescent="0.3">
      <c r="A50" s="18"/>
      <c r="B50" s="3" t="s">
        <v>140</v>
      </c>
      <c r="C50" s="26">
        <f>((191.81*'Financial Statements'!B29)+('Financial Statements'!B55*1000)-('Financial Statements'!B36*1000))/1000</f>
        <v>3108401.6027100002</v>
      </c>
      <c r="D50" s="26">
        <f>((191.81*'Financial Statements'!C29)+('Financial Statements'!C55*1000)-('Financial Statements'!C36*1000))/1000</f>
        <v>3193838.547855</v>
      </c>
      <c r="E50" s="26">
        <f>((191.81*'Financial Statements'!D29)+('Financial Statements'!D55)-('Financial Statements'!D36))</f>
        <v>3345169093.3650002</v>
      </c>
      <c r="G50" t="s">
        <v>194</v>
      </c>
    </row>
  </sheetData>
  <pageMargins left="0.7" right="0.7" top="0.75" bottom="0.75" header="0.3" footer="0.3"/>
  <ignoredErrors>
    <ignoredError sqref="C18 D18:E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selection activeCell="G4" sqref="G4"/>
    </sheetView>
  </sheetViews>
  <sheetFormatPr defaultColWidth="11.5546875" defaultRowHeight="14.4" x14ac:dyDescent="0.3"/>
  <cols>
    <col min="1" max="1" width="5.109375" customWidth="1"/>
    <col min="2" max="2" width="22.6640625" bestFit="1" customWidth="1"/>
    <col min="7" max="7" width="18.44140625" customWidth="1"/>
  </cols>
  <sheetData>
    <row r="1" spans="1:10" ht="46.05" customHeight="1" x14ac:dyDescent="0.5">
      <c r="A1" s="6"/>
      <c r="B1" s="20" t="s">
        <v>0</v>
      </c>
      <c r="C1" s="19"/>
      <c r="D1" s="19"/>
      <c r="E1" s="19"/>
      <c r="F1" s="19"/>
      <c r="G1" s="39" t="s">
        <v>197</v>
      </c>
      <c r="H1" s="19"/>
      <c r="I1" s="19"/>
      <c r="J1" s="19"/>
    </row>
    <row r="2" spans="1:10" ht="16.95" customHeight="1" x14ac:dyDescent="0.3">
      <c r="A2" s="36" t="s">
        <v>181</v>
      </c>
      <c r="B2" s="36"/>
      <c r="C2" s="36"/>
      <c r="D2" s="36"/>
      <c r="E2" s="36"/>
    </row>
    <row r="3" spans="1:10" x14ac:dyDescent="0.3">
      <c r="C3" s="7">
        <v>2022</v>
      </c>
      <c r="D3" s="7">
        <v>2021</v>
      </c>
      <c r="E3" s="7">
        <v>2020</v>
      </c>
    </row>
    <row r="4" spans="1:10" x14ac:dyDescent="0.3">
      <c r="A4" s="18">
        <v>1</v>
      </c>
      <c r="B4" s="7" t="s">
        <v>178</v>
      </c>
      <c r="C4">
        <f>('Financial Statements'!B21/'Financial Statements'!B20)*100</f>
        <v>16.204461684424405</v>
      </c>
      <c r="D4">
        <f>('Financial Statements'!C21/'Financial Statements'!C20)*100</f>
        <v>13.302260844085087</v>
      </c>
      <c r="E4">
        <f>('Financial Statements'!D21/'Financial Statements'!D20)*100</f>
        <v>14.428164731484102</v>
      </c>
      <c r="G4" t="s">
        <v>199</v>
      </c>
    </row>
    <row r="5" spans="1:10" x14ac:dyDescent="0.3">
      <c r="A5" s="18">
        <v>2</v>
      </c>
      <c r="B5" s="7" t="s">
        <v>179</v>
      </c>
      <c r="C5">
        <f>('Financial Statements'!B96/'Financial Statements'!B8)*100</f>
        <v>-2.715505873283155</v>
      </c>
      <c r="D5">
        <f>('Financial Statements'!C96/'Financial Statements'!C8)*100</f>
        <v>-3.0302036264033658</v>
      </c>
      <c r="E5">
        <f>('Financial Statements'!D96/'Financial Statements'!D8)*100</f>
        <v>-2.6625138881299746</v>
      </c>
      <c r="G5" t="s">
        <v>200</v>
      </c>
    </row>
    <row r="6" spans="1:10" x14ac:dyDescent="0.3">
      <c r="A6" s="18">
        <v>3</v>
      </c>
      <c r="B6" s="7" t="s">
        <v>180</v>
      </c>
      <c r="C6">
        <f>('Financial Statements'!B96/(('Financial Statements'!B45+'Financial Statements'!C45)/2))*100</f>
        <v>-26.258935468445383</v>
      </c>
      <c r="D6">
        <f>('Financial Statements'!C96/(('Financial Statements'!C45+'Financial Statements'!D45)/2))*100</f>
        <v>-29.092197464766556</v>
      </c>
      <c r="E6">
        <f>('Financial Statements'!D96/(('Financial Statements'!D45+'Financial Statements'!E45)/2))*100</f>
        <v>-39.759560463471686</v>
      </c>
      <c r="G6" t="s">
        <v>200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Growth Rates</vt:lpstr>
      <vt:lpstr>Margins</vt:lpstr>
      <vt:lpstr>List of Ratios</vt:lpstr>
      <vt:lpstr>Additional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2023-07-17T16:29:23Z</dcterms:modified>
</cp:coreProperties>
</file>